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cromaticgroup.sharepoint.com/sites/POS/Shared Documents/Micro Dosage font/Maverick 1.0/Compliance/7 - Product Information/Calculators/"/>
    </mc:Choice>
  </mc:AlternateContent>
  <xr:revisionPtr revIDLastSave="28" documentId="13_ncr:1_{5013E751-DF8E-4E8F-A68D-5F964097BF4C}" xr6:coauthVersionLast="47" xr6:coauthVersionMax="47" xr10:uidLastSave="{16F9D098-5D67-4163-B6C3-5A56169DC64E}"/>
  <bookViews>
    <workbookView xWindow="-108" yWindow="-108" windowWidth="30936" windowHeight="16776" xr2:uid="{470EF059-0460-4CA8-A52D-5B7B79D377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2" i="1" l="1"/>
  <c r="R42" i="1"/>
  <c r="Q42" i="1"/>
  <c r="Q36" i="1"/>
  <c r="I14" i="1" l="1"/>
  <c r="E14" i="1"/>
  <c r="AK47" i="1"/>
  <c r="Z47" i="1"/>
  <c r="Y47" i="1"/>
  <c r="U47" i="1"/>
  <c r="T47" i="1"/>
  <c r="S42" i="1"/>
  <c r="AL47" i="1" s="1"/>
  <c r="R17" i="1"/>
  <c r="R18" i="1"/>
  <c r="R19" i="1"/>
  <c r="R20" i="1"/>
  <c r="R16" i="1"/>
  <c r="Q17" i="1"/>
  <c r="Q18" i="1"/>
  <c r="Q19" i="1"/>
  <c r="Q20" i="1"/>
  <c r="Q16" i="1"/>
  <c r="R9" i="1"/>
  <c r="R10" i="1"/>
  <c r="R11" i="1"/>
  <c r="R12" i="1"/>
  <c r="R8" i="1"/>
  <c r="Q11" i="1"/>
  <c r="Q10" i="1"/>
  <c r="Q12" i="1"/>
  <c r="Q9" i="1"/>
  <c r="Q8" i="1"/>
  <c r="V47" i="1" l="1"/>
  <c r="W47" i="1" s="1"/>
  <c r="X47" i="1" s="1"/>
  <c r="AM47" i="1"/>
  <c r="U8" i="1" a="1"/>
  <c r="U8" i="1" s="1"/>
  <c r="V8" i="1" a="1"/>
  <c r="V8" i="1" s="1"/>
  <c r="U15" i="1" s="1"/>
  <c r="T8" i="1" a="1"/>
  <c r="T8" i="1" s="1"/>
  <c r="Y27" i="1" l="1"/>
  <c r="Y24" i="1"/>
  <c r="Y25" i="1"/>
  <c r="T15" i="1"/>
  <c r="V15" i="1" s="1"/>
  <c r="Y13" i="1" s="1"/>
  <c r="Y26" i="1"/>
  <c r="Y21" i="1"/>
  <c r="Y28" i="1"/>
  <c r="Y33" i="1"/>
  <c r="Y30" i="1"/>
  <c r="Y6" i="1"/>
  <c r="Y7" i="1"/>
  <c r="Y9" i="1"/>
  <c r="Y34" i="1"/>
  <c r="Y10" i="1"/>
  <c r="Y19" i="1"/>
  <c r="Y20" i="1"/>
  <c r="Y31" i="1"/>
  <c r="Y23" i="1"/>
  <c r="Y32" i="1"/>
  <c r="Y29" i="1"/>
  <c r="Y16" i="1"/>
  <c r="Y18" i="1"/>
  <c r="Y8" i="1" l="1"/>
  <c r="Y35" i="1"/>
  <c r="Y22" i="1"/>
  <c r="Y17" i="1"/>
  <c r="Y11" i="1"/>
  <c r="Y12" i="1"/>
  <c r="Y15" i="1"/>
  <c r="Y14" i="1"/>
  <c r="Q23" i="1" l="1"/>
  <c r="AE47" i="1" s="1"/>
  <c r="AA47" i="1" l="1"/>
  <c r="AB47" i="1" s="1"/>
  <c r="AC47" i="1" s="1"/>
  <c r="R47" i="1" s="1"/>
  <c r="S47" i="1" s="1"/>
  <c r="AN47" i="1" s="1"/>
  <c r="V42" i="1"/>
  <c r="AD47" i="1"/>
  <c r="AF47" i="1" s="1"/>
  <c r="AG47" i="1" s="1"/>
  <c r="AH47" i="1" s="1"/>
  <c r="AJ47" i="1" s="1"/>
  <c r="AQ49" i="1" l="1"/>
  <c r="AR49" i="1" s="1"/>
  <c r="AS49" i="1" s="1"/>
  <c r="AI47" i="1"/>
  <c r="AO47" i="1"/>
  <c r="AP47" i="1" s="1"/>
  <c r="AQ47" i="1" s="1"/>
  <c r="AR47" i="1" s="1"/>
  <c r="AS47" i="1" s="1"/>
  <c r="E17" i="1" s="1"/>
  <c r="C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<sst xmlns="http://schemas.openxmlformats.org/spreadsheetml/2006/main" count="68" uniqueCount="64">
  <si>
    <t>PYTHON HEAT GAIN CALCULATOR</t>
  </si>
  <si>
    <t>Bundle diameter Calculation</t>
  </si>
  <si>
    <t xml:space="preserve">Product lines </t>
  </si>
  <si>
    <t xml:space="preserve">Outer diameter of product line </t>
  </si>
  <si>
    <t xml:space="preserve">Recirc lines </t>
  </si>
  <si>
    <t xml:space="preserve">Outer diamter of recirc lines </t>
  </si>
  <si>
    <t>Total product</t>
  </si>
  <si>
    <t xml:space="preserve">Total recirc </t>
  </si>
  <si>
    <t xml:space="preserve">Total lines </t>
  </si>
  <si>
    <t xml:space="preserve">Sum diameters </t>
  </si>
  <si>
    <t xml:space="preserve">Sum lines </t>
  </si>
  <si>
    <t xml:space="preserve">Avg Diamater </t>
  </si>
  <si>
    <t xml:space="preserve">BUNDLE DIAMETER </t>
  </si>
  <si>
    <t xml:space="preserve">Ambient Temp </t>
  </si>
  <si>
    <t>*ASSUMED*</t>
  </si>
  <si>
    <t xml:space="preserve">Line Temp </t>
  </si>
  <si>
    <t xml:space="preserve">Insulation thickness </t>
  </si>
  <si>
    <t>Length of python</t>
  </si>
  <si>
    <t xml:space="preserve">Thermal conductivity </t>
  </si>
  <si>
    <t xml:space="preserve">bundle diameter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</si>
  <si>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</si>
  <si>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</si>
  <si>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</si>
  <si>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</si>
  <si>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</si>
  <si>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</si>
  <si>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</si>
  <si>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</si>
  <si>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</si>
  <si>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</si>
  <si>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</si>
  <si>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</si>
  <si>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</si>
  <si>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</si>
  <si>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</si>
  <si>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</si>
  <si>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</si>
  <si>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</si>
  <si>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</si>
  <si>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</si>
  <si>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</si>
  <si>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</si>
  <si>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UNINSULATED</t>
  </si>
  <si>
    <t>INSULATED</t>
  </si>
  <si>
    <t>W</t>
  </si>
  <si>
    <t>X</t>
  </si>
  <si>
    <t>Y</t>
  </si>
  <si>
    <t>Z</t>
  </si>
  <si>
    <t>Annual Energy Usage (kW/y)</t>
  </si>
  <si>
    <t>The power dissipation of a Python per hour is about X watts/meter at X mm insulation thickness and X°C ambient temperature.</t>
  </si>
  <si>
    <t>Insulation size (mm)</t>
  </si>
  <si>
    <t>Production lines</t>
  </si>
  <si>
    <t xml:space="preserve">Production line size </t>
  </si>
  <si>
    <t>Outer diameter (mm)</t>
  </si>
  <si>
    <t xml:space="preserve">Quantity </t>
  </si>
  <si>
    <t>Recirculation lines</t>
  </si>
  <si>
    <t xml:space="preserve">Recirculation line size </t>
  </si>
  <si>
    <t>Additional information</t>
  </si>
  <si>
    <t>Length of python (m)</t>
  </si>
  <si>
    <t xml:space="preserve">Heat gain for
insultated bundle (W/m) </t>
  </si>
  <si>
    <t>Input of values required!</t>
  </si>
  <si>
    <t>Ambient temperature (°C)</t>
  </si>
  <si>
    <t>Line temperature (°C)</t>
  </si>
  <si>
    <t xml:space="preserve">            Input of the corresponding values in the grey fields is required.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</si>
</sst>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2" fillId="0" borderId="0" applyFont="0" applyFill="0" applyBorder="0" applyAlignment="0" applyProtection="0"/>
  </cellStyleXfs>
  <cellXfs count="52">
    <xf numFmtId="0" fontId="0" fillId="0" borderId="0" xfId="0"/>
    <xf numFmtId="0" fontId="4" fillId="0" borderId="0" xfId="0" applyFont="1"/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4" borderId="0" xfId="0" applyFont="1" applyFill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horizontal="center" vertical="center"/>
    </xf>
    <xf numFmtId="0" fontId="5" fillId="0" borderId="4" xfId="0" applyFont="1" applyBorder="1"/>
    <xf numFmtId="43" fontId="5" fillId="0" borderId="0" xfId="2" applyFont="1" applyBorder="1" applyAlignment="1">
      <alignment horizontal="center" vertical="center"/>
    </xf>
    <xf numFmtId="43" fontId="5" fillId="0" borderId="0" xfId="2" applyFont="1" applyFill="1" applyBorder="1" applyAlignment="1">
      <alignment horizontal="center" vertical="center"/>
    </xf>
    <xf numFmtId="0" fontId="4" fillId="0" borderId="8" xfId="0" applyFont="1" applyBorder="1"/>
    <xf numFmtId="0" fontId="5" fillId="4" borderId="9" xfId="0" applyFont="1" applyFill="1" applyBorder="1" applyAlignment="1" applyProtection="1">
      <alignment horizontal="center" vertical="center"/>
      <protection locked="0"/>
    </xf>
    <xf numFmtId="0" fontId="4" fillId="5" borderId="0" xfId="0" applyFont="1" applyFill="1"/>
    <xf numFmtId="0" fontId="6" fillId="5" borderId="0" xfId="0" applyFont="1" applyFill="1"/>
    <xf numFmtId="0" fontId="4" fillId="5" borderId="6" xfId="0" applyFont="1" applyFill="1" applyBorder="1"/>
    <xf numFmtId="0" fontId="5" fillId="6" borderId="9" xfId="0" applyFont="1" applyFill="1" applyBorder="1" applyAlignment="1">
      <alignment horizontal="center" vertical="center"/>
    </xf>
    <xf numFmtId="43" fontId="5" fillId="0" borderId="1" xfId="2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3" fillId="5" borderId="0" xfId="0" applyFont="1" applyFill="1"/>
    <xf numFmtId="0" fontId="5" fillId="0" borderId="1" xfId="0" applyFont="1" applyBorder="1"/>
    <xf numFmtId="0" fontId="5" fillId="0" borderId="0" xfId="0" applyFont="1" applyAlignment="1">
      <alignment horizontal="left" vertical="center"/>
    </xf>
    <xf numFmtId="0" fontId="8" fillId="7" borderId="8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8" fillId="4" borderId="0" xfId="0" applyFont="1" applyFill="1"/>
    <xf numFmtId="0" fontId="5" fillId="0" borderId="1" xfId="0" applyFont="1" applyBorder="1" applyAlignment="1">
      <alignment horizontal="left" vertical="center"/>
    </xf>
    <xf numFmtId="0" fontId="10" fillId="0" borderId="0" xfId="0" applyFont="1"/>
    <xf numFmtId="1" fontId="10" fillId="0" borderId="0" xfId="0" applyNumberFormat="1" applyFont="1"/>
    <xf numFmtId="0" fontId="10" fillId="0" borderId="0" xfId="1" applyFont="1" applyFill="1" applyBorder="1"/>
    <xf numFmtId="0" fontId="5" fillId="3" borderId="2" xfId="0" applyFont="1" applyFill="1" applyBorder="1" applyAlignment="1">
      <alignment horizontal="left" vertic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9" xfId="0" applyBorder="1" applyAlignment="1">
      <alignment wrapText="1"/>
    </xf>
    <xf numFmtId="0" fontId="5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5" borderId="5" xfId="0" applyFont="1" applyFill="1" applyBorder="1"/>
    <xf numFmtId="0" fontId="0" fillId="0" borderId="0" xfId="0"/>
    <xf numFmtId="0" fontId="5" fillId="0" borderId="0" xfId="0" applyFont="1"/>
    <xf numFmtId="0" fontId="9" fillId="0" borderId="0" xfId="0" applyFont="1"/>
  </cellXfs>
  <cellStyles count="3">
    <cellStyle name="Comma" xfId="2" builtinId="3"/>
    <cellStyle name="Good" xfId="1" builtinId="26"/>
    <cellStyle name="Normal" xfId="0" builtinId="0"/>
  </cellStyles>
  <dxfs count="4"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E9494"/>
      <color rgb="FFFC96ED"/>
      <color rgb="FF93EAFF"/>
      <color rgb="FFD5AB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259080</xdr:colOff>
      <xdr:row>15</xdr:row>
      <xdr:rowOff>1693</xdr:rowOff>
    </xdr:from>
    <xdr:to>
      <xdr:col>6</xdr:col>
      <xdr:colOff>1430020</xdr:colOff>
      <xdr:row>22</xdr:row>
      <xdr:rowOff>7620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633DF2C-CD3C-4EFF-BB0F-E6700F3B7FAC}"/>
            </a:ext>
          </a:extLst>
        </xdr:cNvPr>
        <xdr:cNvSpPr txBox="1"/>
      </xdr:nvSpPr>
      <xdr:spPr>
        <a:xfrm>
          <a:off x="5524500" y="2531533"/>
          <a:ext cx="2352040" cy="11794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If unsure</a:t>
          </a:r>
          <a:r>
            <a:rPr lang="en-GB" sz="1000" baseline="0"/>
            <a:t> of quantities, enter a</a:t>
          </a:r>
          <a:r>
            <a:rPr lang="en-GB" sz="1000" b="1" baseline="0"/>
            <a:t> 0 </a:t>
          </a:r>
          <a:r>
            <a:rPr lang="en-GB" sz="1000" baseline="0"/>
            <a:t>into each box in the additional information section.</a:t>
          </a:r>
        </a:p>
        <a:p>
          <a:r>
            <a:rPr lang="en-GB" sz="1000" baseline="0"/>
            <a:t>The following values will be assumed otherwise:</a:t>
          </a:r>
        </a:p>
        <a:p>
          <a:r>
            <a:rPr lang="en-GB" sz="1000" b="1" baseline="0"/>
            <a:t>Ambient temperature </a:t>
          </a:r>
          <a:r>
            <a:rPr lang="en-GB" sz="1000" b="0" baseline="0"/>
            <a:t>= 23°C</a:t>
          </a:r>
        </a:p>
        <a:p>
          <a:r>
            <a:rPr lang="en-GB" sz="1000" b="1" baseline="0"/>
            <a:t>Line temperature </a:t>
          </a:r>
          <a:r>
            <a:rPr lang="en-GB" sz="1000" b="0" baseline="0"/>
            <a:t>= 2°C</a:t>
          </a:r>
        </a:p>
        <a:p>
          <a:r>
            <a:rPr lang="en-GB" sz="1000" b="1" baseline="0"/>
            <a:t>Length of python </a:t>
          </a:r>
          <a:r>
            <a:rPr lang="en-GB" sz="1000" b="0" baseline="0"/>
            <a:t>= 25 m</a:t>
          </a:r>
          <a:endParaRPr lang="en-GB" sz="1000" b="0"/>
        </a:p>
      </xdr:txBody>
    </xdr:sp>
    <xdr:clientData/>
  </xdr:twoCellAnchor>
  <xdr:twoCellAnchor editAs="oneCell">
    <xdr:from>
      <xdr:col>7</xdr:col>
      <xdr:colOff>715346</xdr:colOff>
      <xdr:row>0</xdr:row>
      <xdr:rowOff>72612</xdr:rowOff>
    </xdr:from>
    <xdr:to>
      <xdr:col>8</xdr:col>
      <xdr:colOff>1210</xdr:colOff>
      <xdr:row>2</xdr:row>
      <xdr:rowOff>75646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BFBEF2-CD1B-0A63-8C24-CC6227EB4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99713" y="72612"/>
          <a:ext cx="887619" cy="360707"/>
        </a:xfrm>
        <a:prstGeom prst="rect">
          <a:avLst/>
        </a:prstGeom>
      </xdr:spPr>
    </xdr:pic>
    <xdr:clientData/>
  </xdr:twoCellAnchor>
  <xdr:twoCellAnchor editAs="oneCell">
    <xdr:from>
      <xdr:col>0</xdr:col>
      <xdr:colOff>194078</xdr:colOff>
      <xdr:row>23</xdr:row>
      <xdr:rowOff>136849</xdr:rowOff>
    </xdr:from>
    <xdr:to>
      <xdr:col>1</xdr:col>
      <xdr:colOff>304179</xdr:colOff>
      <xdr:row>25</xdr:row>
      <xdr:rowOff>59068</xdr:rowOff>
    </xdr:to>
    <xdr:pic>
      <xdr:nvPicPr>
        <xdr:cNvPr id="2" name="Picture 1" descr="A yellow triangle with a black exclamation mark&#10;&#10;Description automatically generated">
          <a:extLst>
            <a:ext uri="{FF2B5EF4-FFF2-40B4-BE49-F238E27FC236}">
              <a16:creationId xmlns:a16="http://schemas.microsoft.com/office/drawing/2014/main" id="{7E50EF28-281E-426A-8B30-8D7BB32C7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078" y="4086808"/>
          <a:ext cx="320040" cy="2798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CE779-812D-4909-BA2D-1DBFF86E8FD3}">
  <dimension ref="B2:AS49"/>
  <sheetViews>
    <sheetView showGridLines="0" tabSelected="1" zoomScale="98" zoomScaleNormal="98" workbookViewId="0">
      <selection activeCell="C4" sqref="C4"/>
    </sheetView>
  </sheetViews>
  <sheetFormatPr defaultRowHeight="13.2" x14ac:dyDescent="0.25"/>
  <cols>
    <col min="1" max="1" width="3.109375" style="1" customWidth="1"/>
    <col min="2" max="2" width="22.21875" style="1" bestFit="1" customWidth="1"/>
    <col min="3" max="3" width="19" style="1" bestFit="1" customWidth="1"/>
    <col min="4" max="4" width="26.5546875" style="1" bestFit="1" customWidth="1"/>
    <col min="5" max="5" width="9" style="1" bestFit="1" customWidth="1"/>
    <col min="6" max="6" width="17.21875" style="1" customWidth="1"/>
    <col min="7" max="7" width="21" style="1" bestFit="1" customWidth="1"/>
    <col min="8" max="8" width="23.33203125" style="1" bestFit="1" customWidth="1"/>
    <col min="9" max="9" width="9" style="1" bestFit="1" customWidth="1"/>
    <col min="10" max="16" width="8.88671875" style="1"/>
    <col min="17" max="17" width="25.6640625" style="1" bestFit="1" customWidth="1"/>
    <col min="18" max="18" width="28.33203125" style="1" bestFit="1" customWidth="1"/>
    <col min="19" max="19" width="18.77734375" style="1" bestFit="1" customWidth="1"/>
    <col min="20" max="20" width="15.88671875" style="1" bestFit="1" customWidth="1"/>
    <col min="21" max="21" width="20" style="1" bestFit="1" customWidth="1"/>
    <col min="22" max="22" width="15.88671875" style="1" bestFit="1" customWidth="1"/>
    <col min="23" max="31" width="13.33203125" style="1" bestFit="1" customWidth="1"/>
    <col min="32" max="34" width="13.88671875" style="1" bestFit="1" customWidth="1"/>
    <col min="35" max="36" width="13.33203125" style="1" bestFit="1" customWidth="1"/>
    <col min="37" max="37" width="3.88671875" style="1" bestFit="1" customWidth="1"/>
    <col min="38" max="38" width="13.33203125" style="1" bestFit="1" customWidth="1"/>
    <col min="39" max="39" width="13.88671875" style="1" bestFit="1" customWidth="1"/>
    <col min="40" max="40" width="13.33203125" style="1" bestFit="1" customWidth="1"/>
    <col min="41" max="41" width="13.88671875" style="1" bestFit="1" customWidth="1"/>
    <col min="42" max="45" width="13.33203125" style="1" bestFit="1" customWidth="1"/>
    <col min="46" max="16384" width="8.88671875" style="1"/>
  </cols>
  <sheetData>
    <row r="2" spans="2:45" ht="14.4" x14ac:dyDescent="0.3">
      <c r="B2" s="48" t="s">
        <v>0</v>
      </c>
      <c r="C2" s="49"/>
      <c r="D2" s="33" t="s">
        <v>60</v>
      </c>
      <c r="E2" s="27"/>
      <c r="F2" s="21"/>
      <c r="G2" s="21"/>
      <c r="H2" s="20"/>
      <c r="I2" s="22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</row>
    <row r="3" spans="2:45" x14ac:dyDescent="0.25">
      <c r="B3" s="6"/>
      <c r="C3" s="7"/>
      <c r="D3" s="7"/>
      <c r="E3" s="7"/>
      <c r="F3" s="7"/>
      <c r="G3" s="7"/>
      <c r="H3" s="7"/>
      <c r="I3" s="8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</row>
    <row r="4" spans="2:45" x14ac:dyDescent="0.25">
      <c r="B4" s="25" t="s">
        <v>50</v>
      </c>
      <c r="C4" s="2">
        <v>19</v>
      </c>
      <c r="D4" s="7"/>
      <c r="E4" s="7"/>
      <c r="F4" s="7"/>
      <c r="G4" s="7"/>
      <c r="H4" s="7"/>
      <c r="I4" s="8"/>
      <c r="Q4" s="35" t="s">
        <v>1</v>
      </c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</row>
    <row r="5" spans="2:45" x14ac:dyDescent="0.25">
      <c r="B5" s="6"/>
      <c r="C5" s="7"/>
      <c r="D5" s="7"/>
      <c r="E5" s="7"/>
      <c r="F5" s="7"/>
      <c r="G5" s="7"/>
      <c r="H5" s="7"/>
      <c r="I5" s="8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</row>
    <row r="6" spans="2:45" x14ac:dyDescent="0.25">
      <c r="B6" s="26" t="s">
        <v>51</v>
      </c>
      <c r="C6" s="3">
        <v>1</v>
      </c>
      <c r="D6" s="4"/>
      <c r="E6" s="4"/>
      <c r="F6" s="26" t="s">
        <v>55</v>
      </c>
      <c r="G6" s="3">
        <v>2</v>
      </c>
      <c r="H6" s="4"/>
      <c r="I6" s="5"/>
      <c r="Q6" s="35" t="s">
        <v>2</v>
      </c>
      <c r="R6" s="35" t="s">
        <v>3</v>
      </c>
      <c r="S6" s="35"/>
      <c r="T6" s="35" t="s">
        <v>6</v>
      </c>
      <c r="U6" s="35" t="s">
        <v>7</v>
      </c>
      <c r="V6" s="35" t="s">
        <v>8</v>
      </c>
      <c r="W6" s="35"/>
      <c r="X6" s="35">
        <v>1</v>
      </c>
      <c r="Y6" s="35" t="b">
        <f>IF(U15=1,V15*1)</f>
        <v>0</v>
      </c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</row>
    <row r="7" spans="2:45" x14ac:dyDescent="0.25">
      <c r="B7" s="6"/>
      <c r="C7" s="7"/>
      <c r="D7" s="7"/>
      <c r="E7" s="7"/>
      <c r="F7" s="6"/>
      <c r="G7" s="7"/>
      <c r="H7" s="7"/>
      <c r="I7" s="8"/>
      <c r="Q7" s="35"/>
      <c r="R7" s="35"/>
      <c r="S7" s="35"/>
      <c r="T7" s="35"/>
      <c r="U7" s="35"/>
      <c r="V7" s="35"/>
      <c r="W7" s="35"/>
      <c r="X7" s="35">
        <v>2</v>
      </c>
      <c r="Y7" s="35" t="b">
        <f>IF(U15=2,V15*1.65)</f>
        <v>0</v>
      </c>
      <c r="Z7" s="35">
        <v>1.65</v>
      </c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</row>
    <row r="8" spans="2:45" x14ac:dyDescent="0.25">
      <c r="B8" s="6"/>
      <c r="C8" s="29" t="s">
        <v>52</v>
      </c>
      <c r="D8" s="7" t="s">
        <v>53</v>
      </c>
      <c r="E8" s="7" t="s">
        <v>54</v>
      </c>
      <c r="F8" s="6"/>
      <c r="G8" s="29" t="s">
        <v>56</v>
      </c>
      <c r="H8" s="7" t="s">
        <v>53</v>
      </c>
      <c r="I8" s="8" t="s">
        <v>54</v>
      </c>
      <c r="Q8" s="35">
        <f>E9</f>
        <v>1</v>
      </c>
      <c r="R8" s="35">
        <f>D9</f>
        <v>9.5</v>
      </c>
      <c r="S8" s="35"/>
      <c r="T8" s="35" cm="1">
        <f t="array" ref="T8:T12">Q8:Q12*R8:R12</f>
        <v>9.5</v>
      </c>
      <c r="U8" s="35" cm="1">
        <f t="array" ref="U8:U12">Q16:Q20*R16:R20</f>
        <v>19</v>
      </c>
      <c r="V8" s="35" cm="1">
        <f t="array" ref="V8:V12">(Q8:Q12)+(Q16:Q20)</f>
        <v>3</v>
      </c>
      <c r="W8" s="35"/>
      <c r="X8" s="35">
        <v>3</v>
      </c>
      <c r="Y8" s="35">
        <f>IF(U15=3,V15*2)</f>
        <v>19</v>
      </c>
      <c r="Z8" s="35">
        <v>2</v>
      </c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</row>
    <row r="9" spans="2:45" x14ac:dyDescent="0.25">
      <c r="B9" s="6"/>
      <c r="C9" s="7"/>
      <c r="D9" s="9">
        <v>9.5</v>
      </c>
      <c r="E9" s="9">
        <v>1</v>
      </c>
      <c r="F9" s="6"/>
      <c r="G9" s="7"/>
      <c r="H9" s="9">
        <v>9.5</v>
      </c>
      <c r="I9" s="10">
        <v>2</v>
      </c>
      <c r="Q9" s="35">
        <f>E10</f>
        <v>0</v>
      </c>
      <c r="R9" s="35">
        <f>D10</f>
        <v>0</v>
      </c>
      <c r="S9" s="35"/>
      <c r="T9" s="35">
        <v>0</v>
      </c>
      <c r="U9" s="35">
        <v>0</v>
      </c>
      <c r="V9" s="35">
        <v>0</v>
      </c>
      <c r="W9" s="35"/>
      <c r="X9" s="35">
        <v>4</v>
      </c>
      <c r="Y9" s="35" t="b">
        <f>IF(U15=4,V15*2.4)</f>
        <v>0</v>
      </c>
      <c r="Z9" s="35">
        <v>2.4</v>
      </c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</row>
    <row r="10" spans="2:45" x14ac:dyDescent="0.25">
      <c r="B10" s="6"/>
      <c r="C10" s="7"/>
      <c r="D10" s="9"/>
      <c r="E10" s="9"/>
      <c r="F10" s="6"/>
      <c r="G10" s="7"/>
      <c r="H10" s="9"/>
      <c r="I10" s="10"/>
      <c r="Q10" s="35">
        <f>E11</f>
        <v>0</v>
      </c>
      <c r="R10" s="35">
        <f>D11</f>
        <v>0</v>
      </c>
      <c r="S10" s="35"/>
      <c r="T10" s="35">
        <v>0</v>
      </c>
      <c r="U10" s="35">
        <v>0</v>
      </c>
      <c r="V10" s="35">
        <v>0</v>
      </c>
      <c r="W10" s="35"/>
      <c r="X10" s="35">
        <v>5</v>
      </c>
      <c r="Y10" s="35" t="b">
        <f>IF(U15=5,V15*2.7)</f>
        <v>0</v>
      </c>
      <c r="Z10" s="35">
        <v>2.7</v>
      </c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</row>
    <row r="11" spans="2:45" x14ac:dyDescent="0.25">
      <c r="B11" s="6"/>
      <c r="C11" s="7"/>
      <c r="D11" s="9"/>
      <c r="E11" s="9"/>
      <c r="F11" s="6"/>
      <c r="G11" s="7"/>
      <c r="H11" s="9"/>
      <c r="I11" s="10"/>
      <c r="Q11" s="35">
        <f>E12</f>
        <v>0</v>
      </c>
      <c r="R11" s="35">
        <f>D12</f>
        <v>0</v>
      </c>
      <c r="S11" s="35"/>
      <c r="T11" s="35">
        <v>0</v>
      </c>
      <c r="U11" s="35">
        <v>0</v>
      </c>
      <c r="V11" s="35">
        <v>0</v>
      </c>
      <c r="W11" s="35"/>
      <c r="X11" s="35">
        <v>6</v>
      </c>
      <c r="Y11" s="35" t="b">
        <f>IF(U15=6,V15*2.9)</f>
        <v>0</v>
      </c>
      <c r="Z11" s="35">
        <v>2.9</v>
      </c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</row>
    <row r="12" spans="2:45" x14ac:dyDescent="0.25">
      <c r="B12" s="6"/>
      <c r="C12" s="7"/>
      <c r="D12" s="9"/>
      <c r="E12" s="9"/>
      <c r="F12" s="6"/>
      <c r="G12" s="7"/>
      <c r="H12" s="9"/>
      <c r="I12" s="10"/>
      <c r="Q12" s="35">
        <f>E13</f>
        <v>0</v>
      </c>
      <c r="R12" s="35">
        <f>D13</f>
        <v>0</v>
      </c>
      <c r="S12" s="35"/>
      <c r="T12" s="35">
        <v>0</v>
      </c>
      <c r="U12" s="35">
        <v>0</v>
      </c>
      <c r="V12" s="35">
        <v>0</v>
      </c>
      <c r="W12" s="35"/>
      <c r="X12" s="35">
        <v>7</v>
      </c>
      <c r="Y12" s="35" t="b">
        <f>IF(U15=7,V15*3.1)</f>
        <v>0</v>
      </c>
      <c r="Z12" s="35">
        <v>3.1</v>
      </c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</row>
    <row r="13" spans="2:45" x14ac:dyDescent="0.25">
      <c r="B13" s="6"/>
      <c r="C13" s="7"/>
      <c r="D13" s="9"/>
      <c r="E13" s="9"/>
      <c r="F13" s="6"/>
      <c r="G13" s="7"/>
      <c r="H13" s="9"/>
      <c r="I13" s="10"/>
      <c r="Q13" s="35"/>
      <c r="R13" s="35"/>
      <c r="S13" s="35"/>
      <c r="T13" s="35"/>
      <c r="U13" s="35"/>
      <c r="V13" s="35"/>
      <c r="W13" s="35"/>
      <c r="X13" s="35">
        <v>8</v>
      </c>
      <c r="Y13" s="35" t="b">
        <f>IF(U15=8,V15*3.34)</f>
        <v>0</v>
      </c>
      <c r="Z13" s="35">
        <v>3.34</v>
      </c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</row>
    <row r="14" spans="2:45" x14ac:dyDescent="0.25">
      <c r="B14" s="11"/>
      <c r="C14" s="12"/>
      <c r="D14" s="12"/>
      <c r="E14" s="30">
        <f>SUM(E9:E13)</f>
        <v>1</v>
      </c>
      <c r="F14" s="11"/>
      <c r="G14" s="12"/>
      <c r="H14" s="12"/>
      <c r="I14" s="23">
        <f>SUM(I9:I13)</f>
        <v>2</v>
      </c>
      <c r="Q14" s="35" t="s">
        <v>4</v>
      </c>
      <c r="R14" s="35" t="s">
        <v>5</v>
      </c>
      <c r="S14" s="35"/>
      <c r="T14" s="35" t="s">
        <v>9</v>
      </c>
      <c r="U14" s="35" t="s">
        <v>10</v>
      </c>
      <c r="V14" s="35" t="s">
        <v>11</v>
      </c>
      <c r="W14" s="35"/>
      <c r="X14" s="35">
        <v>9</v>
      </c>
      <c r="Y14" s="35" t="b">
        <f>IF(U15=9,V15*3.4)</f>
        <v>0</v>
      </c>
      <c r="Z14" s="35">
        <v>3.4</v>
      </c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</row>
    <row r="15" spans="2:45" x14ac:dyDescent="0.25">
      <c r="B15" s="6"/>
      <c r="C15" s="7"/>
      <c r="D15" s="7"/>
      <c r="E15" s="7"/>
      <c r="F15" s="7"/>
      <c r="G15" s="7"/>
      <c r="H15" s="7"/>
      <c r="I15" s="8"/>
      <c r="Q15" s="35"/>
      <c r="R15" s="35"/>
      <c r="S15" s="35"/>
      <c r="T15" s="35">
        <f>SUM(T8:U12)</f>
        <v>28.5</v>
      </c>
      <c r="U15" s="35">
        <f>SUM(_xlfn.ANCHORARRAY(V8))</f>
        <v>3</v>
      </c>
      <c r="V15" s="35">
        <f>T15/U15</f>
        <v>9.5</v>
      </c>
      <c r="W15" s="35"/>
      <c r="X15" s="35">
        <v>10</v>
      </c>
      <c r="Y15" s="35" t="b">
        <f>IF(U15=10,V15*3.7)</f>
        <v>0</v>
      </c>
      <c r="Z15" s="35">
        <v>3.7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</row>
    <row r="16" spans="2:45" x14ac:dyDescent="0.25">
      <c r="B16" s="6"/>
      <c r="C16" s="7"/>
      <c r="D16" s="7"/>
      <c r="E16" s="7"/>
      <c r="F16" s="7"/>
      <c r="G16" s="7"/>
      <c r="H16" s="28" t="s">
        <v>57</v>
      </c>
      <c r="I16" s="15"/>
      <c r="Q16" s="35">
        <f>I9</f>
        <v>2</v>
      </c>
      <c r="R16" s="35">
        <f>H9</f>
        <v>9.5</v>
      </c>
      <c r="S16" s="35"/>
      <c r="T16" s="35"/>
      <c r="U16" s="35"/>
      <c r="V16" s="35"/>
      <c r="W16" s="35"/>
      <c r="X16" s="35">
        <v>11</v>
      </c>
      <c r="Y16" s="35" t="b">
        <f>IF(U15=11,V15*3.88)</f>
        <v>0</v>
      </c>
      <c r="Z16" s="35">
        <v>3.9</v>
      </c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</row>
    <row r="17" spans="2:45" x14ac:dyDescent="0.25">
      <c r="B17" s="44" t="s">
        <v>59</v>
      </c>
      <c r="C17" s="46">
        <f>AP47</f>
        <v>3.02794772053862</v>
      </c>
      <c r="D17" s="34" t="s">
        <v>48</v>
      </c>
      <c r="E17" s="24">
        <f>AS47</f>
        <v>265.24822031918313</v>
      </c>
      <c r="F17" s="7"/>
      <c r="G17" s="7"/>
      <c r="H17" s="6"/>
      <c r="I17" s="13"/>
      <c r="Q17" s="35">
        <f t="shared" ref="Q17:Q20" si="0">I10</f>
        <v>0</v>
      </c>
      <c r="R17" s="35">
        <f t="shared" ref="R17:R20" si="1">H10</f>
        <v>0</v>
      </c>
      <c r="S17" s="35"/>
      <c r="T17" s="35"/>
      <c r="U17" s="35"/>
      <c r="V17" s="35"/>
      <c r="W17" s="35"/>
      <c r="X17" s="35">
        <v>12</v>
      </c>
      <c r="Y17" s="35" t="b">
        <f>IF(U15=12,V15*4.1)</f>
        <v>0</v>
      </c>
      <c r="Z17" s="35">
        <v>4.0999999999999996</v>
      </c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</row>
    <row r="18" spans="2:45" x14ac:dyDescent="0.25">
      <c r="B18" s="45"/>
      <c r="C18" s="47"/>
      <c r="D18" s="7"/>
      <c r="E18" s="16"/>
      <c r="F18" s="7"/>
      <c r="G18" s="7"/>
      <c r="H18" s="31" t="s">
        <v>61</v>
      </c>
      <c r="I18" s="10">
        <v>24</v>
      </c>
      <c r="Q18" s="35">
        <f t="shared" si="0"/>
        <v>0</v>
      </c>
      <c r="R18" s="35">
        <f t="shared" si="1"/>
        <v>0</v>
      </c>
      <c r="S18" s="35"/>
      <c r="T18" s="35"/>
      <c r="U18" s="35"/>
      <c r="V18" s="35"/>
      <c r="W18" s="35"/>
      <c r="X18" s="35">
        <v>13</v>
      </c>
      <c r="Y18" s="35" t="b">
        <f>IF(U15=13,V15*4.2)</f>
        <v>0</v>
      </c>
      <c r="Z18" s="35">
        <v>4.2</v>
      </c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</row>
    <row r="19" spans="2:45" x14ac:dyDescent="0.25">
      <c r="B19" s="38" t="s">
        <v>49</v>
      </c>
      <c r="C19" s="39"/>
      <c r="D19" s="7"/>
      <c r="E19" s="17"/>
      <c r="F19" s="7"/>
      <c r="G19" s="7"/>
      <c r="H19" s="31"/>
      <c r="I19" s="14"/>
      <c r="Q19" s="35">
        <f t="shared" si="0"/>
        <v>0</v>
      </c>
      <c r="R19" s="35">
        <f t="shared" si="1"/>
        <v>0</v>
      </c>
      <c r="S19" s="35"/>
      <c r="T19" s="35"/>
      <c r="U19" s="35"/>
      <c r="V19" s="35"/>
      <c r="W19" s="35"/>
      <c r="X19" s="35">
        <v>14</v>
      </c>
      <c r="Y19" s="35" t="b">
        <f>IF(U15=14,V15*4.3)</f>
        <v>0</v>
      </c>
      <c r="Z19" s="35">
        <v>4.4000000000000004</v>
      </c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</row>
    <row r="20" spans="2:45" x14ac:dyDescent="0.25">
      <c r="B20" s="40"/>
      <c r="C20" s="41"/>
      <c r="H20" s="31" t="s">
        <v>62</v>
      </c>
      <c r="I20" s="10">
        <v>8</v>
      </c>
      <c r="Q20" s="35">
        <f t="shared" si="0"/>
        <v>0</v>
      </c>
      <c r="R20" s="35">
        <f t="shared" si="1"/>
        <v>0</v>
      </c>
      <c r="S20" s="35"/>
      <c r="T20" s="35"/>
      <c r="U20" s="35"/>
      <c r="V20" s="35"/>
      <c r="W20" s="35"/>
      <c r="X20" s="35">
        <v>15</v>
      </c>
      <c r="Y20" s="35" t="b">
        <f>IF(U15=15,V15*4.5)</f>
        <v>0</v>
      </c>
      <c r="Z20" s="35">
        <v>4.5</v>
      </c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</row>
    <row r="21" spans="2:45" x14ac:dyDescent="0.25">
      <c r="B21" s="40"/>
      <c r="C21" s="41"/>
      <c r="H21" s="31"/>
      <c r="I21" s="14"/>
      <c r="Q21" s="35"/>
      <c r="R21" s="35"/>
      <c r="S21" s="35"/>
      <c r="T21" s="35"/>
      <c r="U21" s="35"/>
      <c r="V21" s="35"/>
      <c r="W21" s="35"/>
      <c r="X21" s="35">
        <v>16</v>
      </c>
      <c r="Y21" s="35" t="b">
        <f>IF(U15=16,V15*4.6)</f>
        <v>0</v>
      </c>
      <c r="Z21" s="35">
        <v>4.5999999999999996</v>
      </c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</row>
    <row r="22" spans="2:45" x14ac:dyDescent="0.25">
      <c r="B22" s="42"/>
      <c r="C22" s="43"/>
      <c r="D22" s="18"/>
      <c r="E22" s="18"/>
      <c r="F22" s="18"/>
      <c r="G22" s="18"/>
      <c r="H22" s="32" t="s">
        <v>58</v>
      </c>
      <c r="I22" s="19">
        <v>10</v>
      </c>
      <c r="Q22" s="37" t="s">
        <v>12</v>
      </c>
      <c r="R22" s="35"/>
      <c r="S22" s="35"/>
      <c r="T22" s="35"/>
      <c r="U22" s="35"/>
      <c r="V22" s="35"/>
      <c r="W22" s="35"/>
      <c r="X22" s="35">
        <v>17</v>
      </c>
      <c r="Y22" s="35" t="b">
        <f>IF(U15=17,V15*4.8)</f>
        <v>0</v>
      </c>
      <c r="Z22" s="35">
        <v>4.8</v>
      </c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</row>
    <row r="23" spans="2:45" x14ac:dyDescent="0.25">
      <c r="Q23" s="36">
        <f>INDEX(Y6:Y35,MATCH(1,Y6:Y35,-1))</f>
        <v>19</v>
      </c>
      <c r="R23" s="35"/>
      <c r="S23" s="35"/>
      <c r="T23" s="35"/>
      <c r="U23" s="35"/>
      <c r="V23" s="35"/>
      <c r="W23" s="35"/>
      <c r="X23" s="35">
        <v>18</v>
      </c>
      <c r="Y23" s="35" t="b">
        <f>IF(U15=18,V15*4.9)</f>
        <v>0</v>
      </c>
      <c r="Z23" s="35">
        <v>4.9000000000000004</v>
      </c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</row>
    <row r="24" spans="2:45" x14ac:dyDescent="0.25">
      <c r="Q24" s="35"/>
      <c r="R24" s="35"/>
      <c r="S24" s="35"/>
      <c r="T24" s="35"/>
      <c r="U24" s="35"/>
      <c r="V24" s="35"/>
      <c r="W24" s="35"/>
      <c r="X24" s="35">
        <v>19</v>
      </c>
      <c r="Y24" s="35" t="b">
        <f>IF(U15=19,V15*5.15)</f>
        <v>0</v>
      </c>
      <c r="Z24" s="35">
        <v>5.15</v>
      </c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</row>
    <row r="25" spans="2:45" ht="14.4" x14ac:dyDescent="0.3">
      <c r="B25" s="50" t="s">
        <v>63</v>
      </c>
      <c r="C25" s="51"/>
      <c r="D25" s="51"/>
      <c r="Q25" s="35"/>
      <c r="R25" s="35"/>
      <c r="S25" s="35"/>
      <c r="T25" s="35"/>
      <c r="U25" s="35"/>
      <c r="V25" s="35"/>
      <c r="W25" s="35"/>
      <c r="X25" s="35">
        <v>20</v>
      </c>
      <c r="Y25" s="35" t="b">
        <f>IF(U15=20,V15*5.2)</f>
        <v>0</v>
      </c>
      <c r="Z25" s="35">
        <v>5.2</v>
      </c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</row>
    <row r="26" spans="2:45" x14ac:dyDescent="0.25">
      <c r="Q26" s="35"/>
      <c r="R26" s="35"/>
      <c r="S26" s="35"/>
      <c r="T26" s="35"/>
      <c r="U26" s="35"/>
      <c r="V26" s="35"/>
      <c r="W26" s="35"/>
      <c r="X26" s="35">
        <v>21</v>
      </c>
      <c r="Y26" s="35" t="b">
        <f>IF(U15=21,V15*5.3)</f>
        <v>0</v>
      </c>
      <c r="Z26" s="35">
        <v>5.3</v>
      </c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</row>
    <row r="27" spans="2:45" x14ac:dyDescent="0.25">
      <c r="Q27" s="35"/>
      <c r="R27" s="35"/>
      <c r="S27" s="35"/>
      <c r="T27" s="35"/>
      <c r="U27" s="35"/>
      <c r="V27" s="35"/>
      <c r="W27" s="35"/>
      <c r="X27" s="35">
        <v>22</v>
      </c>
      <c r="Y27" s="35" t="b">
        <f>IF(U15=22,V15*5.5)</f>
        <v>0</v>
      </c>
      <c r="Z27" s="35">
        <v>5.5</v>
      </c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</row>
    <row r="28" spans="2:45" x14ac:dyDescent="0.25">
      <c r="Q28" s="35"/>
      <c r="R28" s="35"/>
      <c r="S28" s="35"/>
      <c r="T28" s="35"/>
      <c r="U28" s="35"/>
      <c r="V28" s="35"/>
      <c r="W28" s="35"/>
      <c r="X28" s="35">
        <v>23</v>
      </c>
      <c r="Y28" s="35" t="b">
        <f>IF(U15=23,V15*5.55)</f>
        <v>0</v>
      </c>
      <c r="Z28" s="35">
        <v>5.55</v>
      </c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</row>
    <row r="29" spans="2:45" x14ac:dyDescent="0.25">
      <c r="Q29" s="35"/>
      <c r="R29" s="35"/>
      <c r="S29" s="35"/>
      <c r="T29" s="35"/>
      <c r="U29" s="35"/>
      <c r="V29" s="35"/>
      <c r="W29" s="35"/>
      <c r="X29" s="35">
        <v>24</v>
      </c>
      <c r="Y29" s="35" t="b">
        <f>IF(U15=24,V15*5.66)</f>
        <v>0</v>
      </c>
      <c r="Z29" s="35">
        <v>5.6</v>
      </c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</row>
    <row r="30" spans="2:45" x14ac:dyDescent="0.25">
      <c r="Q30" s="35"/>
      <c r="R30" s="35"/>
      <c r="S30" s="35"/>
      <c r="T30" s="35"/>
      <c r="U30" s="35"/>
      <c r="V30" s="35"/>
      <c r="W30" s="35"/>
      <c r="X30" s="35">
        <v>25</v>
      </c>
      <c r="Y30" s="35" t="b">
        <f>IF(U15=25,V15*5.8)</f>
        <v>0</v>
      </c>
      <c r="Z30" s="35">
        <v>5.8</v>
      </c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</row>
    <row r="31" spans="2:45" x14ac:dyDescent="0.25">
      <c r="Q31" s="35"/>
      <c r="R31" s="35"/>
      <c r="S31" s="35"/>
      <c r="T31" s="35"/>
      <c r="U31" s="35"/>
      <c r="V31" s="35"/>
      <c r="W31" s="35"/>
      <c r="X31" s="35">
        <v>26</v>
      </c>
      <c r="Y31" s="35" t="b">
        <f>IF(U15=26,V15*6.098)</f>
        <v>0</v>
      </c>
      <c r="Z31" s="35">
        <v>6.0990000000000002</v>
      </c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</row>
    <row r="32" spans="2:45" x14ac:dyDescent="0.25">
      <c r="Q32" s="35"/>
      <c r="R32" s="35"/>
      <c r="S32" s="35"/>
      <c r="T32" s="35"/>
      <c r="U32" s="35"/>
      <c r="V32" s="35"/>
      <c r="W32" s="35"/>
      <c r="X32" s="35">
        <v>27</v>
      </c>
      <c r="Y32" s="35" t="b">
        <f>IF(U15=27,V15*6.15)</f>
        <v>0</v>
      </c>
      <c r="Z32" s="35">
        <v>6.15</v>
      </c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</row>
    <row r="33" spans="17:45" x14ac:dyDescent="0.25">
      <c r="Q33" s="35"/>
      <c r="R33" s="35"/>
      <c r="S33" s="35"/>
      <c r="T33" s="35"/>
      <c r="U33" s="35"/>
      <c r="V33" s="35"/>
      <c r="W33" s="35"/>
      <c r="X33" s="35">
        <v>28</v>
      </c>
      <c r="Y33" s="35" t="b">
        <f>IF(U15=28,V15*6.21)</f>
        <v>0</v>
      </c>
      <c r="Z33" s="35">
        <v>6.21</v>
      </c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</row>
    <row r="34" spans="17:45" x14ac:dyDescent="0.25">
      <c r="Q34" s="35"/>
      <c r="R34" s="35"/>
      <c r="S34" s="35"/>
      <c r="T34" s="35"/>
      <c r="U34" s="35"/>
      <c r="V34" s="35"/>
      <c r="W34" s="35"/>
      <c r="X34" s="35">
        <v>29</v>
      </c>
      <c r="Y34" s="35" t="b">
        <f>IF(U15=29,V15*6.5)</f>
        <v>0</v>
      </c>
      <c r="Z34" s="35">
        <v>6.5</v>
      </c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</row>
    <row r="35" spans="17:45" x14ac:dyDescent="0.25">
      <c r="Q35" s="35"/>
      <c r="R35" s="35"/>
      <c r="S35" s="35"/>
      <c r="T35" s="35"/>
      <c r="U35" s="35"/>
      <c r="V35" s="35"/>
      <c r="W35" s="35"/>
      <c r="X35" s="35">
        <v>30</v>
      </c>
      <c r="Y35" s="35" t="b">
        <f>IF(U15=30,V15*6.5)</f>
        <v>0</v>
      </c>
      <c r="Z35" s="35">
        <v>6.7</v>
      </c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</row>
    <row r="36" spans="17:45" x14ac:dyDescent="0.25">
      <c r="Q36" s="35">
        <f>IF(I18=0,23,I18)</f>
        <v>24</v>
      </c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</row>
    <row r="37" spans="17:45" x14ac:dyDescent="0.25"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</row>
    <row r="38" spans="17:45" x14ac:dyDescent="0.25"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</row>
    <row r="39" spans="17:45" x14ac:dyDescent="0.25"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</row>
    <row r="40" spans="17:45" x14ac:dyDescent="0.25">
      <c r="Q40" s="35" t="s">
        <v>14</v>
      </c>
      <c r="R40" s="35" t="s">
        <v>14</v>
      </c>
      <c r="S40" s="35"/>
      <c r="T40" s="35" t="s">
        <v>14</v>
      </c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</row>
    <row r="41" spans="17:45" x14ac:dyDescent="0.25">
      <c r="Q41" s="35" t="s">
        <v>13</v>
      </c>
      <c r="R41" s="35" t="s">
        <v>15</v>
      </c>
      <c r="S41" s="35" t="s">
        <v>16</v>
      </c>
      <c r="T41" s="35" t="s">
        <v>17</v>
      </c>
      <c r="U41" s="35" t="s">
        <v>18</v>
      </c>
      <c r="V41" s="35" t="s">
        <v>19</v>
      </c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</row>
    <row r="42" spans="17:45" x14ac:dyDescent="0.25">
      <c r="Q42" s="35">
        <f>IF(I18=0,23,I18)</f>
        <v>24</v>
      </c>
      <c r="R42" s="35">
        <f>IF(I20=0,2,I20)</f>
        <v>8</v>
      </c>
      <c r="S42" s="35">
        <f>C4</f>
        <v>19</v>
      </c>
      <c r="T42" s="35">
        <f>IF(I22=0,25,I22)</f>
        <v>10</v>
      </c>
      <c r="U42" s="35">
        <v>3.6999999999999998E-2</v>
      </c>
      <c r="V42" s="36">
        <f>Q23</f>
        <v>19</v>
      </c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</row>
    <row r="43" spans="17:45" x14ac:dyDescent="0.25"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</row>
    <row r="44" spans="17:45" x14ac:dyDescent="0.25"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</row>
    <row r="45" spans="17:45" x14ac:dyDescent="0.25"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</row>
    <row r="46" spans="17:45" x14ac:dyDescent="0.25">
      <c r="Q46" s="35"/>
      <c r="R46" s="35" t="s">
        <v>20</v>
      </c>
      <c r="S46" s="35" t="s">
        <v>21</v>
      </c>
      <c r="T46" s="35" t="s">
        <v>22</v>
      </c>
      <c r="U46" s="35" t="s">
        <v>23</v>
      </c>
      <c r="V46" s="35" t="s">
        <v>24</v>
      </c>
      <c r="W46" s="35" t="s">
        <v>25</v>
      </c>
      <c r="X46" s="35" t="s">
        <v>26</v>
      </c>
      <c r="Y46" s="35" t="s">
        <v>27</v>
      </c>
      <c r="Z46" s="35" t="s">
        <v>28</v>
      </c>
      <c r="AA46" s="35" t="s">
        <v>29</v>
      </c>
      <c r="AB46" s="35" t="s">
        <v>30</v>
      </c>
      <c r="AC46" s="35" t="s">
        <v>31</v>
      </c>
      <c r="AD46" s="35" t="s">
        <v>32</v>
      </c>
      <c r="AE46" s="35" t="s">
        <v>33</v>
      </c>
      <c r="AF46" s="35" t="s">
        <v>34</v>
      </c>
      <c r="AG46" s="35" t="s">
        <v>35</v>
      </c>
      <c r="AH46" s="35" t="s">
        <v>36</v>
      </c>
      <c r="AI46" s="35" t="s">
        <v>37</v>
      </c>
      <c r="AJ46" s="35" t="s">
        <v>38</v>
      </c>
      <c r="AK46" s="35" t="s">
        <v>39</v>
      </c>
      <c r="AL46" s="35" t="s">
        <v>40</v>
      </c>
      <c r="AM46" s="35" t="s">
        <v>41</v>
      </c>
      <c r="AN46" s="35" t="s">
        <v>42</v>
      </c>
      <c r="AO46" s="35" t="s">
        <v>43</v>
      </c>
      <c r="AP46" s="35" t="s">
        <v>44</v>
      </c>
      <c r="AQ46" s="35" t="s">
        <v>45</v>
      </c>
      <c r="AR46" s="35" t="s">
        <v>46</v>
      </c>
      <c r="AS46" s="35" t="s">
        <v>47</v>
      </c>
    </row>
    <row r="47" spans="17:45" x14ac:dyDescent="0.25">
      <c r="Q47" s="35">
        <v>10</v>
      </c>
      <c r="R47" s="35">
        <f>X47+AC47</f>
        <v>237.89040235416547</v>
      </c>
      <c r="S47" s="35">
        <f>R47*Q23*3.14159*0.001</f>
        <v>14.19972807350463</v>
      </c>
      <c r="T47" s="35">
        <f>(R42+273.15)^4</f>
        <v>6248163009.1290035</v>
      </c>
      <c r="U47" s="35">
        <f>(Q42+273.15)^4</f>
        <v>7796558437.0250034</v>
      </c>
      <c r="V47" s="35">
        <f>-(T47-U47)</f>
        <v>1548395427.8959999</v>
      </c>
      <c r="W47" s="35">
        <f>V47*5.67381*10^-8</f>
        <v>87.853014627506028</v>
      </c>
      <c r="X47" s="35">
        <f>W47*0.9</f>
        <v>79.067713164755432</v>
      </c>
      <c r="Y47" s="35">
        <f>2.909*(-R42+Q42)^1.27</f>
        <v>98.395695359777761</v>
      </c>
      <c r="Z47" s="35">
        <f>((-R42+Q42)/2)^0.17</f>
        <v>1.4240501955970717</v>
      </c>
      <c r="AA47" s="35">
        <f>(Q23*0.001)^0.21</f>
        <v>0.43504908161425099</v>
      </c>
      <c r="AB47" s="35">
        <f>Z47*AA47</f>
        <v>0.61953172976710047</v>
      </c>
      <c r="AC47" s="35">
        <f>Y47/AB47</f>
        <v>158.82268918941003</v>
      </c>
      <c r="AD47" s="35">
        <f>((Q23/1000)/(U42*2))*(LN((2*S42+Q23)/Q23))</f>
        <v>0.28207612817154171</v>
      </c>
      <c r="AE47" s="35">
        <f>Q23/(Q47*(2*S42+Q23))</f>
        <v>3.3333333333333333E-2</v>
      </c>
      <c r="AF47" s="35">
        <f>(R42-Q42)/(AD47+AE47)</f>
        <v>-50.72771096866002</v>
      </c>
      <c r="AG47" s="35">
        <f>AF47/1000*3.14159*Q23</f>
        <v>-3.02794772053862</v>
      </c>
      <c r="AH47" s="35">
        <f>AG47*1000/3.142/Q23</f>
        <v>-50.721091502874806</v>
      </c>
      <c r="AI47" s="35">
        <f>((S47-AG47)/S47)*100</f>
        <v>121.32398384577863</v>
      </c>
      <c r="AJ47" s="35">
        <f>(AH47*Q23)/(Q47*(S42*2+Q23))+Q42</f>
        <v>22.309296949904173</v>
      </c>
      <c r="AK47" s="35">
        <f>R42-Q42</f>
        <v>-16</v>
      </c>
      <c r="AL47" s="35">
        <f>(1/Q47)+((S42*0.001)/U42)</f>
        <v>0.61351351351351346</v>
      </c>
      <c r="AM47" s="35">
        <f>AK47/AL47</f>
        <v>-26.079295154185026</v>
      </c>
      <c r="AN47" s="35">
        <f>S47</f>
        <v>14.19972807350463</v>
      </c>
      <c r="AO47" s="35">
        <f>AG47</f>
        <v>-3.02794772053862</v>
      </c>
      <c r="AP47" s="35">
        <f>(AO47*-1)</f>
        <v>3.02794772053862</v>
      </c>
      <c r="AQ47" s="35">
        <f>AP47*8760</f>
        <v>26524.822031918313</v>
      </c>
      <c r="AR47" s="35">
        <f>AQ47/1000</f>
        <v>26.524822031918312</v>
      </c>
      <c r="AS47" s="35">
        <f>AR47*T42</f>
        <v>265.24822031918313</v>
      </c>
    </row>
    <row r="48" spans="17:45" x14ac:dyDescent="0.25"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</row>
    <row r="49" spans="17:45" x14ac:dyDescent="0.25"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>
        <f>AN47*8760</f>
        <v>124389.61792390056</v>
      </c>
      <c r="AR49" s="35">
        <f>AQ49/1000</f>
        <v>124.38961792390056</v>
      </c>
      <c r="AS49" s="35">
        <f>AR49*T42</f>
        <v>1243.8961792390055</v>
      </c>
    </row>
  </sheetData>
  <sheetProtection algorithmName="SHA-512" hashValue="lOfbzEUgie8cxBxYxiOcJj8uYc/iGVLCq0cTVVNwYfSvSm4d4A8H0bF9oyNtRZ57+noqlyTmxlpqKpt9ay9R1w==" saltValue="VZYgrvSZvkzlPdF/2MJD3g==" spinCount="100000" sheet="1" objects="1" scenarios="1"/>
  <mergeCells count="5">
    <mergeCell ref="B19:C22"/>
    <mergeCell ref="B17:B18"/>
    <mergeCell ref="C17:C18"/>
    <mergeCell ref="B2:C2"/>
    <mergeCell ref="B25:D25"/>
  </mergeCells>
  <conditionalFormatting sqref="E14">
    <cfRule type="cellIs" dxfId="3" priority="1" operator="notEqual">
      <formula>$C$6</formula>
    </cfRule>
    <cfRule type="cellIs" dxfId="2" priority="2" operator="equal">
      <formula>$C$6</formula>
    </cfRule>
  </conditionalFormatting>
  <conditionalFormatting sqref="I14">
    <cfRule type="cellIs" dxfId="1" priority="3" operator="notEqual">
      <formula>$G$6</formula>
    </cfRule>
    <cfRule type="cellIs" dxfId="0" priority="5" operator="equal">
      <formula>$G$6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806B12EBAF704EBDB93DCF4A4CCB63" ma:contentTypeVersion="17" ma:contentTypeDescription="Create a new document." ma:contentTypeScope="" ma:versionID="b3ee99eb90ba604c64d9dbc720f02afe">
  <xsd:schema xmlns:xsd="http://www.w3.org/2001/XMLSchema" xmlns:xs="http://www.w3.org/2001/XMLSchema" xmlns:p="http://schemas.microsoft.com/office/2006/metadata/properties" xmlns:ns2="8d490510-2927-4d56-af75-4c7c3dcdc141" xmlns:ns3="e4d837f9-4fff-46cc-985e-3ff13d8b0cb4" targetNamespace="http://schemas.microsoft.com/office/2006/metadata/properties" ma:root="true" ma:fieldsID="ae47c3e1878982c3fa88ce26db312f6b" ns2:_="" ns3:_="">
    <xsd:import namespace="8d490510-2927-4d56-af75-4c7c3dcdc141"/>
    <xsd:import namespace="e4d837f9-4fff-46cc-985e-3ff13d8b0c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490510-2927-4d56-af75-4c7c3dcdc1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66e8db8-87c7-4baa-8ac9-fe7ed60f5b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d837f9-4fff-46cc-985e-3ff13d8b0cb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870555b-4caf-4381-959e-f031c2c6775d}" ma:internalName="TaxCatchAll" ma:showField="CatchAllData" ma:web="e4d837f9-4fff-46cc-985e-3ff13d8b0cb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9AABB0-A538-4CE0-BD7C-D5096B0F66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C8A6E1-02BC-47C2-9766-FB9F3C87FE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490510-2927-4d56-af75-4c7c3dcdc141"/>
    <ds:schemaRef ds:uri="e4d837f9-4fff-46cc-985e-3ff13d8b0c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Maebh Fitzsimons</dc:creator>
  <cp:lastModifiedBy>Tanja Leukel</cp:lastModifiedBy>
  <dcterms:created xsi:type="dcterms:W3CDTF">2023-02-27T16:07:02Z</dcterms:created>
  <dcterms:modified xsi:type="dcterms:W3CDTF">2023-10-10T07:12:36Z</dcterms:modified>
</cp:coreProperties>
</file>